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ormalized Bridge" sheetId="1" state="visible" r:id="rId3"/>
    <sheet name="Sensitivity &amp; Coverage" sheetId="2" state="visible" r:id="rId4"/>
  </sheets>
  <definedNames>
    <definedName function="false" hidden="false" localSheetId="0" name="_xlnm.Print_Area" vbProcedure="false">'Normalized Bridge'!$A$1:$E$29</definedName>
    <definedName function="false" hidden="false" localSheetId="1" name="_xlnm.Print_Area" vbProcedure="false">'Sensitivity &amp; Coverage'!$A$1:$H$26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7" authorId="0">
      <text>
        <r>
          <rPr>
            <sz val="10"/>
            <rFont val="Arial"/>
            <family val="2"/>
          </rPr>
          <t xml:space="preserve">Source: Q1 2026 Consolidating Income Statement</t>
        </r>
      </text>
    </comment>
    <comment ref="D8" authorId="0">
      <text>
        <r>
          <rPr>
            <sz val="10"/>
            <rFont val="Arial"/>
            <family val="2"/>
          </rPr>
          <t xml:space="preserve">Q1 x 4 to annualize</t>
        </r>
      </text>
    </comment>
    <comment ref="D9" authorId="0">
      <text>
        <r>
          <rPr>
            <sz val="10"/>
            <rFont val="Arial"/>
            <family val="2"/>
          </rPr>
          <t xml:space="preserve">Validated Jun-2026; recurring saving going forward</t>
        </r>
      </text>
    </comment>
    <comment ref="D10" authorId="0">
      <text>
        <r>
          <rPr>
            <sz val="10"/>
            <rFont val="Arial"/>
            <family val="2"/>
          </rPr>
          <t xml:space="preserve">Management estimate; to validate</t>
        </r>
      </text>
    </comment>
    <comment ref="D11" authorId="0">
      <text>
        <r>
          <rPr>
            <sz val="10"/>
            <rFont val="Arial"/>
            <family val="2"/>
          </rPr>
          <t xml:space="preserve">Anchored to 2025 new-physician actuals</t>
        </r>
      </text>
    </comment>
    <comment ref="D12" authorId="0">
      <text>
        <r>
          <rPr>
            <sz val="10"/>
            <rFont val="Arial"/>
            <family val="2"/>
          </rPr>
          <t xml:space="preserve">Management estimate; to validate</t>
        </r>
      </text>
    </comment>
    <comment ref="D13" authorId="0">
      <text>
        <r>
          <rPr>
            <sz val="10"/>
            <rFont val="Arial"/>
            <family val="2"/>
          </rPr>
          <t xml:space="preserve">Anchored to 2025 new-physician actuals</t>
        </r>
      </text>
    </comment>
    <comment ref="D14" authorId="0">
      <text>
        <r>
          <rPr>
            <sz val="10"/>
            <rFont val="Arial"/>
            <family val="2"/>
          </rPr>
          <t xml:space="preserve">High drop-through; fixed costs already covered. To validate</t>
        </r>
      </text>
    </comment>
    <comment ref="D15" authorId="0">
      <text>
        <r>
          <rPr>
            <sz val="10"/>
            <rFont val="Arial"/>
            <family val="2"/>
          </rPr>
          <t xml:space="preserve">Q1 run-rate annualized; management 24-30MM guidance</t>
        </r>
      </text>
    </comment>
    <comment ref="D27" authorId="0">
      <text>
        <r>
          <rPr>
            <sz val="10"/>
            <rFont val="Arial"/>
            <family val="2"/>
          </rPr>
          <t xml:space="preserve">Per validation; one-time equity pickup, not run-rate EBITDA. Enter if applicable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8" authorId="0">
      <text>
        <r>
          <rPr>
            <sz val="10"/>
            <rFont val="Arial"/>
            <family val="2"/>
          </rPr>
          <t xml:space="preserve">Centier note 7,391,093 + Refi loan 7,243,255 (3-31-26 BS)</t>
        </r>
      </text>
    </comment>
    <comment ref="D25" authorId="0">
      <text>
        <r>
          <rPr>
            <sz val="10"/>
            <rFont val="Arial"/>
            <family val="2"/>
          </rPr>
          <t xml:space="preserve">Economically necessary vendors; to validate</t>
        </r>
      </text>
    </comment>
  </commentList>
</comments>
</file>

<file path=xl/sharedStrings.xml><?xml version="1.0" encoding="utf-8"?>
<sst xmlns="http://schemas.openxmlformats.org/spreadsheetml/2006/main" count="48" uniqueCount="46">
  <si>
    <t xml:space="preserve">TREME-PARKER</t>
  </si>
  <si>
    <t xml:space="preserve">Pinnacle Hospital  -  Normalized EBITDA Bridge</t>
  </si>
  <si>
    <t xml:space="preserve">Confidential  ·  June 2026  ·  USD  ·  Blue = input, Green = key output</t>
  </si>
  <si>
    <t xml:space="preserve">ASSUMPTIONS AND INPUTS</t>
  </si>
  <si>
    <t xml:space="preserve">Q1 2026 EBITDA (consolidated, actual)</t>
  </si>
  <si>
    <t xml:space="preserve">Source: Q1 2026 Consolidating Income Statement</t>
  </si>
  <si>
    <t xml:space="preserve">Annualization factor</t>
  </si>
  <si>
    <t xml:space="preserve">Q1 x 4 to annualize</t>
  </si>
  <si>
    <t xml:space="preserve">Recurring provider-fee (HAF) exemption, annual  [VALIDATED]</t>
  </si>
  <si>
    <t xml:space="preserve">Validated Jun-2026; recurring saving going forward</t>
  </si>
  <si>
    <t xml:space="preserve">Incremental spine cases per month</t>
  </si>
  <si>
    <t xml:space="preserve">Management estimate; to validate</t>
  </si>
  <si>
    <t xml:space="preserve">Avg revenue per spine case</t>
  </si>
  <si>
    <t xml:space="preserve">Anchored to 2025 new-physician actuals</t>
  </si>
  <si>
    <t xml:space="preserve">Incremental orthopedic cases per month</t>
  </si>
  <si>
    <t xml:space="preserve">Avg revenue per orthopedic case</t>
  </si>
  <si>
    <t xml:space="preserve">Incremental contribution margin % (drop-through)</t>
  </si>
  <si>
    <t xml:space="preserve">High drop-through; fixed costs already covered. To validate</t>
  </si>
  <si>
    <t xml:space="preserve">Normalized annual net revenue (for margin calc)</t>
  </si>
  <si>
    <t xml:space="preserve">Q1 run-rate annualized; management 24-30MM guidance</t>
  </si>
  <si>
    <t xml:space="preserve">NORMALIZED EBITDA BRIDGE</t>
  </si>
  <si>
    <t xml:space="preserve">Annualized current EBITDA run-rate</t>
  </si>
  <si>
    <t xml:space="preserve">(+) Recurring HAF / provider-fee exemption (validated)</t>
  </si>
  <si>
    <t xml:space="preserve">(+) Incremental surgical contribution (spine + ortho)</t>
  </si>
  <si>
    <t xml:space="preserve">(=) Normalized run-rate EBITDA</t>
  </si>
  <si>
    <t xml:space="preserve">Normalized EBITDA margin %</t>
  </si>
  <si>
    <t xml:space="preserve">Memo: current monthly EBITDA (Q1 run-rate)</t>
  </si>
  <si>
    <t xml:space="preserve">Memo: pro forma monthly EBITDA (normalized)</t>
  </si>
  <si>
    <t xml:space="preserve">ONE-TIME ITEM  (excluded from run-rate EBITDA)</t>
  </si>
  <si>
    <t xml:space="preserve">HAF accrued-liability reversal (balance-sheet pickup)</t>
  </si>
  <si>
    <t xml:space="preserve">One-time; improves equity / net worth, excluded from run-rate EBITDA above</t>
  </si>
  <si>
    <t xml:space="preserve">Note: HAF is validated. Surgical-recovery inputs are management estimates pending FTI validation.</t>
  </si>
  <si>
    <t xml:space="preserve">Sensitivity  -  Normalized Run-Rate EBITDA ($)</t>
  </si>
  <si>
    <t xml:space="preserve">Columns = incremental spine cases / month   ·   Rows = incremental contribution margin %</t>
  </si>
  <si>
    <t xml:space="preserve">Ortho cases, case revenues, and validated HAF held per Bridge inputs.</t>
  </si>
  <si>
    <t xml:space="preserve">Margin \ Spine cases</t>
  </si>
  <si>
    <t xml:space="preserve">Green = base case (5 spine cases/mo, 75% drop-through). Positive values indicate run-rate EBITDA above break-even.</t>
  </si>
  <si>
    <t xml:space="preserve">ASSET COVERAGE  (collateral real estate)</t>
  </si>
  <si>
    <t xml:space="preserve">Real-estate value (2023 appraisal, as-is)</t>
  </si>
  <si>
    <t xml:space="preserve">RE-secured debt (Centier + Refi loan)</t>
  </si>
  <si>
    <t xml:space="preserve">Real-estate equity (cushion)</t>
  </si>
  <si>
    <t xml:space="preserve">Loan-to-value on current RE debt</t>
  </si>
  <si>
    <t xml:space="preserve">PAYABLES NORMALIZATION LEVER</t>
  </si>
  <si>
    <t xml:space="preserve">Trade payables, face (4/30/26)</t>
  </si>
  <si>
    <t xml:space="preserve">Estimated funded cure (management view)</t>
  </si>
  <si>
    <t xml:space="preserve">Implied balance-sheet improvement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</si>
</sst>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&quot;($&quot;#,##0\);\-"/>
    <numFmt numFmtId="166" formatCode="0"/>
    <numFmt numFmtId="167" formatCode="0.0%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A1A1A"/>
      <name val="Avenir"/>
      <family val="0"/>
      <charset val="1"/>
    </font>
    <font>
      <b val="true"/>
      <sz val="13"/>
      <color rgb="FF4A4A4A"/>
      <name val="Avenir"/>
      <family val="0"/>
      <charset val="1"/>
    </font>
    <font>
      <i val="true"/>
      <sz val="9.5"/>
      <color rgb="FF8C8C8C"/>
      <name val="Avenir"/>
      <family val="0"/>
      <charset val="1"/>
    </font>
    <font>
      <b val="true"/>
      <sz val="11.5"/>
      <color rgb="FFFFFFFF"/>
      <name val="Avenir"/>
      <family val="0"/>
      <charset val="1"/>
    </font>
    <font>
      <sz val="11"/>
      <color rgb="FF262626"/>
      <name val="Avenir"/>
      <family val="0"/>
      <charset val="1"/>
    </font>
    <font>
      <sz val="11"/>
      <color rgb="FF0000FF"/>
      <name val="Avenir"/>
      <family val="0"/>
      <charset val="1"/>
    </font>
    <font>
      <i val="true"/>
      <sz val="9"/>
      <color rgb="FF8C8C8C"/>
      <name val="Avenir"/>
      <family val="0"/>
      <charset val="1"/>
    </font>
    <font>
      <b val="true"/>
      <sz val="11"/>
      <color rgb="FF1A1A1A"/>
      <name val="Avenir"/>
      <family val="0"/>
      <charset val="1"/>
    </font>
    <font>
      <b val="true"/>
      <sz val="11.5"/>
      <color rgb="FF206A42"/>
      <name val="Avenir"/>
      <family val="0"/>
      <charset val="1"/>
    </font>
    <font>
      <sz val="10"/>
      <name val="Arial"/>
      <family val="2"/>
    </font>
    <font>
      <b val="true"/>
      <sz val="10"/>
      <color rgb="FFFFFFFF"/>
      <name val="Avenir"/>
      <family val="0"/>
      <charset val="1"/>
    </font>
    <font>
      <b val="true"/>
      <sz val="10.5"/>
      <color rgb="FFFFFFFF"/>
      <name val="Avenir"/>
      <family val="0"/>
      <charset val="1"/>
    </font>
    <font>
      <b val="true"/>
      <sz val="10.5"/>
      <color rgb="FF1A1A1A"/>
      <name val="Avenir"/>
      <family val="0"/>
      <charset val="1"/>
    </font>
    <font>
      <sz val="10.5"/>
      <color rgb="FF262626"/>
      <name val="Avenir"/>
      <family val="0"/>
      <charset val="1"/>
    </font>
    <font>
      <b val="true"/>
      <sz val="10.5"/>
      <color rgb="FF206A42"/>
      <name val="Avenir"/>
      <family val="0"/>
      <charset val="1"/>
    </font>
    <font>
      <b val="true"/>
      <sz val="11"/>
      <color rgb="FF206A42"/>
      <name val="Avenir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2C2C2C"/>
        <bgColor rgb="FF262626"/>
      </patternFill>
    </fill>
    <fill>
      <patternFill patternType="solid">
        <fgColor rgb="FFF2F2F2"/>
        <bgColor rgb="FFEFEFEF"/>
      </patternFill>
    </fill>
    <fill>
      <patternFill patternType="solid">
        <fgColor rgb="FFD9EAD3"/>
        <bgColor rgb="FFD9D9D9"/>
      </patternFill>
    </fill>
    <fill>
      <patternFill patternType="solid">
        <fgColor rgb="FFEFEFEF"/>
        <bgColor rgb="FFF2F2F2"/>
      </patternFill>
    </fill>
    <fill>
      <patternFill patternType="solid">
        <fgColor rgb="FFFFFFFF"/>
        <bgColor rgb="FFFAFAFA"/>
      </patternFill>
    </fill>
    <fill>
      <patternFill patternType="solid">
        <fgColor rgb="FFFAFAFA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6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12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7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06A42"/>
      <rgbColor rgb="FFBFBFBF"/>
      <rgbColor rgb="FF808080"/>
      <rgbColor rgb="FF9999FF"/>
      <rgbColor rgb="FF993366"/>
      <rgbColor rgb="FFFAFAFA"/>
      <rgbColor rgb="FFEFEFE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9EAD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8C8C8C"/>
      <rgbColor rgb="FF003366"/>
      <rgbColor rgb="FF339966"/>
      <rgbColor rgb="FF1A1A1A"/>
      <rgbColor rgb="FF262626"/>
      <rgbColor rgb="FF993300"/>
      <rgbColor rgb="FF993366"/>
      <rgbColor rgb="FF4A4A4A"/>
      <rgbColor rgb="FF2C2C2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BFBF"/>
    <pageSetUpPr fitToPage="true"/>
  </sheetPr>
  <dimension ref="B2:E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53"/>
    <col collapsed="false" customWidth="true" hidden="false" outlineLevel="0" max="3" min="3" style="0" width="2"/>
    <col collapsed="false" customWidth="true" hidden="false" outlineLevel="0" max="4" min="4" style="0" width="16"/>
    <col collapsed="false" customWidth="true" hidden="false" outlineLevel="0" max="5" min="5" style="0" width="32"/>
  </cols>
  <sheetData>
    <row r="2" customFormat="false" ht="18.55" hidden="false" customHeight="false" outlineLevel="0" collapsed="false">
      <c r="B2" s="1" t="s">
        <v>0</v>
      </c>
    </row>
    <row r="3" customFormat="false" ht="16.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19.5" hidden="false" customHeight="true" outlineLevel="0" collapsed="false">
      <c r="B6" s="4" t="s">
        <v>3</v>
      </c>
      <c r="C6" s="4"/>
      <c r="D6" s="4"/>
      <c r="E6" s="4"/>
    </row>
    <row r="7" customFormat="false" ht="15" hidden="false" customHeight="false" outlineLevel="0" collapsed="false">
      <c r="B7" s="5" t="s">
        <v>4</v>
      </c>
      <c r="D7" s="6" t="n">
        <v>-1273851</v>
      </c>
      <c r="E7" s="7" t="s">
        <v>5</v>
      </c>
    </row>
    <row r="8" customFormat="false" ht="15" hidden="false" customHeight="false" outlineLevel="0" collapsed="false">
      <c r="B8" s="5" t="s">
        <v>6</v>
      </c>
      <c r="D8" s="8" t="n">
        <v>4</v>
      </c>
      <c r="E8" s="7" t="s">
        <v>7</v>
      </c>
    </row>
    <row r="9" customFormat="false" ht="15" hidden="false" customHeight="false" outlineLevel="0" collapsed="false">
      <c r="B9" s="5" t="s">
        <v>8</v>
      </c>
      <c r="D9" s="6" t="n">
        <v>1300000</v>
      </c>
      <c r="E9" s="7" t="s">
        <v>9</v>
      </c>
    </row>
    <row r="10" customFormat="false" ht="15" hidden="false" customHeight="false" outlineLevel="0" collapsed="false">
      <c r="B10" s="5" t="s">
        <v>10</v>
      </c>
      <c r="D10" s="8" t="n">
        <v>5</v>
      </c>
      <c r="E10" s="7" t="s">
        <v>11</v>
      </c>
    </row>
    <row r="11" customFormat="false" ht="15" hidden="false" customHeight="false" outlineLevel="0" collapsed="false">
      <c r="B11" s="5" t="s">
        <v>12</v>
      </c>
      <c r="D11" s="6" t="n">
        <v>50000</v>
      </c>
      <c r="E11" s="7" t="s">
        <v>13</v>
      </c>
    </row>
    <row r="12" customFormat="false" ht="15" hidden="false" customHeight="false" outlineLevel="0" collapsed="false">
      <c r="B12" s="5" t="s">
        <v>14</v>
      </c>
      <c r="D12" s="8" t="n">
        <v>10</v>
      </c>
      <c r="E12" s="7" t="s">
        <v>11</v>
      </c>
    </row>
    <row r="13" customFormat="false" ht="15" hidden="false" customHeight="false" outlineLevel="0" collapsed="false">
      <c r="B13" s="5" t="s">
        <v>15</v>
      </c>
      <c r="D13" s="6" t="n">
        <v>11000</v>
      </c>
      <c r="E13" s="7" t="s">
        <v>13</v>
      </c>
    </row>
    <row r="14" customFormat="false" ht="15" hidden="false" customHeight="false" outlineLevel="0" collapsed="false">
      <c r="B14" s="5" t="s">
        <v>16</v>
      </c>
      <c r="D14" s="9" t="n">
        <v>0.75</v>
      </c>
      <c r="E14" s="7" t="s">
        <v>17</v>
      </c>
    </row>
    <row r="15" customFormat="false" ht="15" hidden="false" customHeight="false" outlineLevel="0" collapsed="false">
      <c r="B15" s="5" t="s">
        <v>18</v>
      </c>
      <c r="D15" s="6" t="n">
        <v>29000000</v>
      </c>
      <c r="E15" s="7" t="s">
        <v>19</v>
      </c>
    </row>
    <row r="17" customFormat="false" ht="19.5" hidden="false" customHeight="true" outlineLevel="0" collapsed="false">
      <c r="B17" s="4" t="s">
        <v>20</v>
      </c>
      <c r="C17" s="4"/>
      <c r="D17" s="4"/>
      <c r="E17" s="4"/>
    </row>
    <row r="18" customFormat="false" ht="15" hidden="false" customHeight="false" outlineLevel="0" collapsed="false">
      <c r="B18" s="5" t="s">
        <v>21</v>
      </c>
      <c r="D18" s="10" t="n">
        <f aca="false">D7*D8</f>
        <v>-5095404</v>
      </c>
    </row>
    <row r="19" customFormat="false" ht="15" hidden="false" customHeight="false" outlineLevel="0" collapsed="false">
      <c r="B19" s="5" t="s">
        <v>22</v>
      </c>
      <c r="D19" s="10" t="n">
        <f aca="false">D9</f>
        <v>1300000</v>
      </c>
    </row>
    <row r="20" customFormat="false" ht="15" hidden="false" customHeight="false" outlineLevel="0" collapsed="false">
      <c r="B20" s="5" t="s">
        <v>23</v>
      </c>
      <c r="D20" s="10" t="n">
        <f aca="false">(D10*D11+D12*D13)*12*D14</f>
        <v>3240000</v>
      </c>
    </row>
    <row r="21" customFormat="false" ht="15" hidden="false" customHeight="false" outlineLevel="0" collapsed="false">
      <c r="B21" s="11" t="s">
        <v>24</v>
      </c>
      <c r="D21" s="12" t="n">
        <f aca="false">D18+D19+D20</f>
        <v>-555404</v>
      </c>
    </row>
    <row r="22" customFormat="false" ht="15" hidden="false" customHeight="false" outlineLevel="0" collapsed="false">
      <c r="B22" s="5" t="s">
        <v>25</v>
      </c>
      <c r="D22" s="13" t="n">
        <f aca="false">D21/D15</f>
        <v>-0.0191518620689655</v>
      </c>
    </row>
    <row r="23" customFormat="false" ht="15" hidden="false" customHeight="false" outlineLevel="0" collapsed="false">
      <c r="B23" s="5" t="s">
        <v>26</v>
      </c>
      <c r="D23" s="10" t="n">
        <f aca="false">D7/3</f>
        <v>-424617</v>
      </c>
    </row>
    <row r="24" customFormat="false" ht="15" hidden="false" customHeight="false" outlineLevel="0" collapsed="false">
      <c r="B24" s="5" t="s">
        <v>27</v>
      </c>
      <c r="D24" s="10" t="n">
        <f aca="false">D21/12</f>
        <v>-46283.6666666667</v>
      </c>
    </row>
    <row r="26" customFormat="false" ht="19.5" hidden="false" customHeight="true" outlineLevel="0" collapsed="false">
      <c r="B26" s="4" t="s">
        <v>28</v>
      </c>
      <c r="C26" s="4"/>
      <c r="D26" s="4"/>
      <c r="E26" s="4"/>
    </row>
    <row r="27" customFormat="false" ht="15" hidden="false" customHeight="false" outlineLevel="0" collapsed="false">
      <c r="B27" s="5" t="s">
        <v>29</v>
      </c>
      <c r="D27" s="6" t="n">
        <v>0</v>
      </c>
      <c r="E27" s="7" t="s">
        <v>30</v>
      </c>
    </row>
    <row r="29" customFormat="false" ht="15" hidden="false" customHeight="false" outlineLevel="0" collapsed="false">
      <c r="B29" s="14" t="s">
        <v>31</v>
      </c>
    </row>
  </sheetData>
  <mergeCells count="3">
    <mergeCell ref="B6:E6"/>
    <mergeCell ref="B17:E17"/>
    <mergeCell ref="B26:E26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08080"/>
    <pageSetUpPr fitToPage="true"/>
  </sheetPr>
  <dimension ref="B2:H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0"/>
    <col collapsed="false" customWidth="true" hidden="false" outlineLevel="0" max="8" min="3" style="0" width="14"/>
    <col collapsed="false" customWidth="true" hidden="false" outlineLevel="0" max="10" min="9" style="0" width="2"/>
  </cols>
  <sheetData>
    <row r="2" customFormat="false" ht="16.15" hidden="false" customHeight="false" outlineLevel="0" collapsed="false">
      <c r="B2" s="2" t="s">
        <v>32</v>
      </c>
    </row>
    <row r="3" customFormat="false" ht="15" hidden="false" customHeight="false" outlineLevel="0" collapsed="false">
      <c r="B3" s="3" t="s">
        <v>33</v>
      </c>
    </row>
    <row r="4" customFormat="false" ht="15" hidden="false" customHeight="false" outlineLevel="0" collapsed="false">
      <c r="B4" s="3" t="s">
        <v>34</v>
      </c>
    </row>
    <row r="6" customFormat="false" ht="15" hidden="false" customHeight="false" outlineLevel="0" collapsed="false">
      <c r="B6" s="15" t="s">
        <v>35</v>
      </c>
      <c r="C6" s="16" t="n">
        <v>3</v>
      </c>
      <c r="D6" s="16" t="n">
        <v>4</v>
      </c>
      <c r="E6" s="16" t="n">
        <v>5</v>
      </c>
      <c r="F6" s="16" t="n">
        <v>6</v>
      </c>
      <c r="G6" s="16" t="n">
        <v>7</v>
      </c>
      <c r="H6" s="16" t="n">
        <v>8</v>
      </c>
    </row>
    <row r="7" customFormat="false" ht="15" hidden="false" customHeight="false" outlineLevel="0" collapsed="false">
      <c r="B7" s="17" t="n">
        <v>0.6</v>
      </c>
      <c r="C7" s="18" t="n">
        <f aca="false">('Normalized Bridge'!D7*'Normalized Bridge'!D8)+'Normalized Bridge'!D9+(3*'Normalized Bridge'!D11+'Normalized Bridge'!D12*'Normalized Bridge'!D13)*12*0.6</f>
        <v>-1923404</v>
      </c>
      <c r="D7" s="18" t="n">
        <f aca="false">('Normalized Bridge'!D7*'Normalized Bridge'!D8)+'Normalized Bridge'!D9+(4*'Normalized Bridge'!D11+'Normalized Bridge'!D12*'Normalized Bridge'!D13)*12*0.6</f>
        <v>-1563404</v>
      </c>
      <c r="E7" s="18" t="n">
        <f aca="false">('Normalized Bridge'!D7*'Normalized Bridge'!D8)+'Normalized Bridge'!D9+(5*'Normalized Bridge'!D11+'Normalized Bridge'!D12*'Normalized Bridge'!D13)*12*0.6</f>
        <v>-1203404</v>
      </c>
      <c r="F7" s="18" t="n">
        <f aca="false">('Normalized Bridge'!D7*'Normalized Bridge'!D8)+'Normalized Bridge'!D9+(6*'Normalized Bridge'!D11+'Normalized Bridge'!D12*'Normalized Bridge'!D13)*12*0.6</f>
        <v>-843404</v>
      </c>
      <c r="G7" s="18" t="n">
        <f aca="false">('Normalized Bridge'!D7*'Normalized Bridge'!D8)+'Normalized Bridge'!D9+(7*'Normalized Bridge'!D11+'Normalized Bridge'!D12*'Normalized Bridge'!D13)*12*0.6</f>
        <v>-483404</v>
      </c>
      <c r="H7" s="18" t="n">
        <f aca="false">('Normalized Bridge'!D7*'Normalized Bridge'!D8)+'Normalized Bridge'!D9+(8*'Normalized Bridge'!D11+'Normalized Bridge'!D12*'Normalized Bridge'!D13)*12*0.6</f>
        <v>-123404</v>
      </c>
    </row>
    <row r="8" customFormat="false" ht="15" hidden="false" customHeight="false" outlineLevel="0" collapsed="false">
      <c r="B8" s="17" t="n">
        <v>0.65</v>
      </c>
      <c r="C8" s="19" t="n">
        <f aca="false">('Normalized Bridge'!D7*'Normalized Bridge'!D8)+'Normalized Bridge'!D9+(3*'Normalized Bridge'!D11+'Normalized Bridge'!D12*'Normalized Bridge'!D13)*12*0.65</f>
        <v>-1767404</v>
      </c>
      <c r="D8" s="19" t="n">
        <f aca="false">('Normalized Bridge'!D7*'Normalized Bridge'!D8)+'Normalized Bridge'!D9+(4*'Normalized Bridge'!D11+'Normalized Bridge'!D12*'Normalized Bridge'!D13)*12*0.65</f>
        <v>-1377404</v>
      </c>
      <c r="E8" s="19" t="n">
        <f aca="false">('Normalized Bridge'!D7*'Normalized Bridge'!D8)+'Normalized Bridge'!D9+(5*'Normalized Bridge'!D11+'Normalized Bridge'!D12*'Normalized Bridge'!D13)*12*0.65</f>
        <v>-987404</v>
      </c>
      <c r="F8" s="19" t="n">
        <f aca="false">('Normalized Bridge'!D7*'Normalized Bridge'!D8)+'Normalized Bridge'!D9+(6*'Normalized Bridge'!D11+'Normalized Bridge'!D12*'Normalized Bridge'!D13)*12*0.65</f>
        <v>-597404</v>
      </c>
      <c r="G8" s="19" t="n">
        <f aca="false">('Normalized Bridge'!D7*'Normalized Bridge'!D8)+'Normalized Bridge'!D9+(7*'Normalized Bridge'!D11+'Normalized Bridge'!D12*'Normalized Bridge'!D13)*12*0.65</f>
        <v>-207404</v>
      </c>
      <c r="H8" s="19" t="n">
        <f aca="false">('Normalized Bridge'!D7*'Normalized Bridge'!D8)+'Normalized Bridge'!D9+(8*'Normalized Bridge'!D11+'Normalized Bridge'!D12*'Normalized Bridge'!D13)*12*0.65</f>
        <v>182596</v>
      </c>
    </row>
    <row r="9" customFormat="false" ht="15" hidden="false" customHeight="false" outlineLevel="0" collapsed="false">
      <c r="B9" s="17" t="n">
        <v>0.7</v>
      </c>
      <c r="C9" s="18" t="n">
        <f aca="false">('Normalized Bridge'!D7*'Normalized Bridge'!D8)+'Normalized Bridge'!D9+(3*'Normalized Bridge'!D11+'Normalized Bridge'!D12*'Normalized Bridge'!D13)*12*0.7</f>
        <v>-1611404</v>
      </c>
      <c r="D9" s="18" t="n">
        <f aca="false">('Normalized Bridge'!D7*'Normalized Bridge'!D8)+'Normalized Bridge'!D9+(4*'Normalized Bridge'!D11+'Normalized Bridge'!D12*'Normalized Bridge'!D13)*12*0.7</f>
        <v>-1191404</v>
      </c>
      <c r="E9" s="18" t="n">
        <f aca="false">('Normalized Bridge'!D7*'Normalized Bridge'!D8)+'Normalized Bridge'!D9+(5*'Normalized Bridge'!D11+'Normalized Bridge'!D12*'Normalized Bridge'!D13)*12*0.7</f>
        <v>-771404</v>
      </c>
      <c r="F9" s="18" t="n">
        <f aca="false">('Normalized Bridge'!D7*'Normalized Bridge'!D8)+'Normalized Bridge'!D9+(6*'Normalized Bridge'!D11+'Normalized Bridge'!D12*'Normalized Bridge'!D13)*12*0.7</f>
        <v>-351404</v>
      </c>
      <c r="G9" s="18" t="n">
        <f aca="false">('Normalized Bridge'!D7*'Normalized Bridge'!D8)+'Normalized Bridge'!D9+(7*'Normalized Bridge'!D11+'Normalized Bridge'!D12*'Normalized Bridge'!D13)*12*0.7</f>
        <v>68595.9999999995</v>
      </c>
      <c r="H9" s="18" t="n">
        <f aca="false">('Normalized Bridge'!D7*'Normalized Bridge'!D8)+'Normalized Bridge'!D9+(8*'Normalized Bridge'!D11+'Normalized Bridge'!D12*'Normalized Bridge'!D13)*12*0.7</f>
        <v>488596</v>
      </c>
    </row>
    <row r="10" customFormat="false" ht="15" hidden="false" customHeight="false" outlineLevel="0" collapsed="false">
      <c r="B10" s="17" t="n">
        <v>0.75</v>
      </c>
      <c r="C10" s="19" t="n">
        <f aca="false">('Normalized Bridge'!D7*'Normalized Bridge'!D8)+'Normalized Bridge'!D9+(3*'Normalized Bridge'!D11+'Normalized Bridge'!D12*'Normalized Bridge'!D13)*12*0.75</f>
        <v>-1455404</v>
      </c>
      <c r="D10" s="19" t="n">
        <f aca="false">('Normalized Bridge'!D7*'Normalized Bridge'!D8)+'Normalized Bridge'!D9+(4*'Normalized Bridge'!D11+'Normalized Bridge'!D12*'Normalized Bridge'!D13)*12*0.75</f>
        <v>-1005404</v>
      </c>
      <c r="E10" s="20" t="n">
        <f aca="false">('Normalized Bridge'!D7*'Normalized Bridge'!D8)+'Normalized Bridge'!D9+(5*'Normalized Bridge'!D11+'Normalized Bridge'!D12*'Normalized Bridge'!D13)*12*0.75</f>
        <v>-555404</v>
      </c>
      <c r="F10" s="19" t="n">
        <f aca="false">('Normalized Bridge'!D7*'Normalized Bridge'!D8)+'Normalized Bridge'!D9+(6*'Normalized Bridge'!D11+'Normalized Bridge'!D12*'Normalized Bridge'!D13)*12*0.75</f>
        <v>-105404</v>
      </c>
      <c r="G10" s="19" t="n">
        <f aca="false">('Normalized Bridge'!D7*'Normalized Bridge'!D8)+'Normalized Bridge'!D9+(7*'Normalized Bridge'!D11+'Normalized Bridge'!D12*'Normalized Bridge'!D13)*12*0.75</f>
        <v>344596</v>
      </c>
      <c r="H10" s="19" t="n">
        <f aca="false">('Normalized Bridge'!D7*'Normalized Bridge'!D8)+'Normalized Bridge'!D9+(8*'Normalized Bridge'!D11+'Normalized Bridge'!D12*'Normalized Bridge'!D13)*12*0.75</f>
        <v>794596</v>
      </c>
    </row>
    <row r="11" customFormat="false" ht="15" hidden="false" customHeight="false" outlineLevel="0" collapsed="false">
      <c r="B11" s="17" t="n">
        <v>0.8</v>
      </c>
      <c r="C11" s="18" t="n">
        <f aca="false">('Normalized Bridge'!D7*'Normalized Bridge'!D8)+'Normalized Bridge'!D9+(3*'Normalized Bridge'!D11+'Normalized Bridge'!D12*'Normalized Bridge'!D13)*12*0.8</f>
        <v>-1299404</v>
      </c>
      <c r="D11" s="18" t="n">
        <f aca="false">('Normalized Bridge'!D7*'Normalized Bridge'!D8)+'Normalized Bridge'!D9+(4*'Normalized Bridge'!D11+'Normalized Bridge'!D12*'Normalized Bridge'!D13)*12*0.8</f>
        <v>-819404</v>
      </c>
      <c r="E11" s="18" t="n">
        <f aca="false">('Normalized Bridge'!D7*'Normalized Bridge'!D8)+'Normalized Bridge'!D9+(5*'Normalized Bridge'!D11+'Normalized Bridge'!D12*'Normalized Bridge'!D13)*12*0.8</f>
        <v>-339404</v>
      </c>
      <c r="F11" s="18" t="n">
        <f aca="false">('Normalized Bridge'!D7*'Normalized Bridge'!D8)+'Normalized Bridge'!D9+(6*'Normalized Bridge'!D11+'Normalized Bridge'!D12*'Normalized Bridge'!D13)*12*0.8</f>
        <v>140596</v>
      </c>
      <c r="G11" s="18" t="n">
        <f aca="false">('Normalized Bridge'!D7*'Normalized Bridge'!D8)+'Normalized Bridge'!D9+(7*'Normalized Bridge'!D11+'Normalized Bridge'!D12*'Normalized Bridge'!D13)*12*0.8</f>
        <v>620596</v>
      </c>
      <c r="H11" s="18" t="n">
        <f aca="false">('Normalized Bridge'!D7*'Normalized Bridge'!D8)+'Normalized Bridge'!D9+(8*'Normalized Bridge'!D11+'Normalized Bridge'!D12*'Normalized Bridge'!D13)*12*0.8</f>
        <v>1100596</v>
      </c>
    </row>
    <row r="12" customFormat="false" ht="15" hidden="false" customHeight="false" outlineLevel="0" collapsed="false">
      <c r="B12" s="17" t="n">
        <v>0.85</v>
      </c>
      <c r="C12" s="19" t="n">
        <f aca="false">('Normalized Bridge'!D7*'Normalized Bridge'!D8)+'Normalized Bridge'!D9+(3*'Normalized Bridge'!D11+'Normalized Bridge'!D12*'Normalized Bridge'!D13)*12*0.85</f>
        <v>-1143404</v>
      </c>
      <c r="D12" s="19" t="n">
        <f aca="false">('Normalized Bridge'!D7*'Normalized Bridge'!D8)+'Normalized Bridge'!D9+(4*'Normalized Bridge'!D11+'Normalized Bridge'!D12*'Normalized Bridge'!D13)*12*0.85</f>
        <v>-633404</v>
      </c>
      <c r="E12" s="19" t="n">
        <f aca="false">('Normalized Bridge'!D7*'Normalized Bridge'!D8)+'Normalized Bridge'!D9+(5*'Normalized Bridge'!D11+'Normalized Bridge'!D12*'Normalized Bridge'!D13)*12*0.85</f>
        <v>-123404</v>
      </c>
      <c r="F12" s="19" t="n">
        <f aca="false">('Normalized Bridge'!D7*'Normalized Bridge'!D8)+'Normalized Bridge'!D9+(6*'Normalized Bridge'!D11+'Normalized Bridge'!D12*'Normalized Bridge'!D13)*12*0.85</f>
        <v>386596</v>
      </c>
      <c r="G12" s="19" t="n">
        <f aca="false">('Normalized Bridge'!D7*'Normalized Bridge'!D8)+'Normalized Bridge'!D9+(7*'Normalized Bridge'!D11+'Normalized Bridge'!D12*'Normalized Bridge'!D13)*12*0.85</f>
        <v>896596</v>
      </c>
      <c r="H12" s="19" t="n">
        <f aca="false">('Normalized Bridge'!D7*'Normalized Bridge'!D8)+'Normalized Bridge'!D9+(8*'Normalized Bridge'!D11+'Normalized Bridge'!D12*'Normalized Bridge'!D13)*12*0.85</f>
        <v>1406596</v>
      </c>
    </row>
    <row r="14" customFormat="false" ht="15" hidden="false" customHeight="false" outlineLevel="0" collapsed="false">
      <c r="B14" s="3" t="s">
        <v>36</v>
      </c>
    </row>
    <row r="16" customFormat="false" ht="19.5" hidden="false" customHeight="true" outlineLevel="0" collapsed="false">
      <c r="B16" s="4" t="s">
        <v>37</v>
      </c>
      <c r="C16" s="4"/>
      <c r="D16" s="4"/>
    </row>
    <row r="17" customFormat="false" ht="15" hidden="false" customHeight="false" outlineLevel="0" collapsed="false">
      <c r="B17" s="21" t="s">
        <v>38</v>
      </c>
      <c r="C17" s="21"/>
      <c r="D17" s="6" t="n">
        <v>28100000</v>
      </c>
    </row>
    <row r="18" customFormat="false" ht="15" hidden="false" customHeight="false" outlineLevel="0" collapsed="false">
      <c r="B18" s="21" t="s">
        <v>39</v>
      </c>
      <c r="C18" s="21"/>
      <c r="D18" s="6" t="n">
        <v>14634348</v>
      </c>
    </row>
    <row r="19" customFormat="false" ht="15" hidden="false" customHeight="false" outlineLevel="0" collapsed="false">
      <c r="B19" s="21" t="s">
        <v>40</v>
      </c>
      <c r="C19" s="21"/>
      <c r="D19" s="22" t="n">
        <f aca="false">D17-D18</f>
        <v>13465652</v>
      </c>
    </row>
    <row r="20" customFormat="false" ht="15" hidden="false" customHeight="false" outlineLevel="0" collapsed="false">
      <c r="B20" s="21" t="s">
        <v>41</v>
      </c>
      <c r="C20" s="21"/>
      <c r="D20" s="13" t="n">
        <f aca="false">D18/D17</f>
        <v>0.520795302491103</v>
      </c>
    </row>
    <row r="23" customFormat="false" ht="19.5" hidden="false" customHeight="true" outlineLevel="0" collapsed="false">
      <c r="B23" s="4" t="s">
        <v>42</v>
      </c>
      <c r="C23" s="4"/>
      <c r="D23" s="4"/>
    </row>
    <row r="24" customFormat="false" ht="15" hidden="false" customHeight="false" outlineLevel="0" collapsed="false">
      <c r="B24" s="21" t="s">
        <v>43</v>
      </c>
      <c r="C24" s="21"/>
      <c r="D24" s="6" t="n">
        <v>18222644</v>
      </c>
    </row>
    <row r="25" customFormat="false" ht="15" hidden="false" customHeight="false" outlineLevel="0" collapsed="false">
      <c r="B25" s="21" t="s">
        <v>44</v>
      </c>
      <c r="C25" s="21"/>
      <c r="D25" s="6" t="n">
        <v>8000000</v>
      </c>
    </row>
    <row r="26" customFormat="false" ht="15" hidden="false" customHeight="false" outlineLevel="0" collapsed="false">
      <c r="B26" s="21" t="s">
        <v>45</v>
      </c>
      <c r="C26" s="21"/>
      <c r="D26" s="22" t="n">
        <f aca="false">D24-D25</f>
        <v>10222644</v>
      </c>
    </row>
  </sheetData>
  <mergeCells count="9">
    <mergeCell ref="B16:D16"/>
    <mergeCell ref="B17:C17"/>
    <mergeCell ref="B18:C18"/>
    <mergeCell ref="B19:C19"/>
    <mergeCell ref="B20:C20"/>
    <mergeCell ref="B23:D23"/>
    <mergeCell ref="B24:C24"/>
    <mergeCell ref="B25:C25"/>
    <mergeCell ref="B26:C26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2026-06-26T23:39:40Z</dcterms:created>
  <dc:creator>openpyxl</dc:creator>
  <dc:description/>
  <dc:language>en-US</dc:language>
  <cp:lastModifiedBy/>
  <dcterms:modified xsi:type="dcterms:W3CDTF">2026-06-26T23:39:40Z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